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c94cb9f01a9ee9/Documents/Unit 446/tournaments/"/>
    </mc:Choice>
  </mc:AlternateContent>
  <xr:revisionPtr revIDLastSave="337" documentId="8_{C294BD4C-F1CB-4AF2-8437-EE9794404848}" xr6:coauthVersionLast="44" xr6:coauthVersionMax="44" xr10:uidLastSave="{319C5239-7204-4EFE-AFD9-627A6A303F52}"/>
  <bookViews>
    <workbookView xWindow="-120" yWindow="-120" windowWidth="29040" windowHeight="15840" activeTab="1" xr2:uid="{CB2876A7-31AD-4686-8E4F-486472EEB97A}"/>
  </bookViews>
  <sheets>
    <sheet name="Base analysis" sheetId="1" r:id="rId1"/>
    <sheet name="Average Tournament" sheetId="4" r:id="rId2"/>
    <sheet name="Worst case ish" sheetId="3" r:id="rId3"/>
  </sheets>
  <definedNames>
    <definedName name="_xlnm.Print_Area" localSheetId="0">'Base analysis'!$A$1:$O$37</definedName>
    <definedName name="_xlnm.Print_Area" localSheetId="2">'Worst case ish'!$A$1:$R$37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4" l="1"/>
  <c r="L9" i="4"/>
  <c r="C22" i="4"/>
  <c r="C20" i="4"/>
  <c r="D20" i="4" s="1"/>
  <c r="C26" i="4"/>
  <c r="D26" i="4" s="1"/>
  <c r="L5" i="4"/>
  <c r="L6" i="4" s="1"/>
  <c r="D22" i="4"/>
  <c r="D23" i="4"/>
  <c r="D24" i="4"/>
  <c r="D25" i="4"/>
  <c r="D27" i="4"/>
  <c r="B11" i="4"/>
  <c r="B10" i="4"/>
  <c r="B9" i="4"/>
  <c r="B8" i="4"/>
  <c r="B7" i="4"/>
  <c r="B6" i="4"/>
  <c r="B5" i="4"/>
  <c r="B4" i="4"/>
  <c r="B3" i="4"/>
  <c r="C16" i="4"/>
  <c r="C8" i="4"/>
  <c r="D17" i="1"/>
  <c r="D21" i="4" l="1"/>
  <c r="D28" i="4" s="1"/>
  <c r="D11" i="1"/>
  <c r="C11" i="1"/>
  <c r="E11" i="1"/>
  <c r="F11" i="1"/>
  <c r="G11" i="1"/>
  <c r="H11" i="1"/>
  <c r="C12" i="1"/>
  <c r="D12" i="1"/>
  <c r="E12" i="1"/>
  <c r="F12" i="1"/>
  <c r="G12" i="1"/>
  <c r="H12" i="1"/>
  <c r="D10" i="1"/>
  <c r="E10" i="1"/>
  <c r="F10" i="1"/>
  <c r="G10" i="1"/>
  <c r="H10" i="1"/>
  <c r="C10" i="1"/>
  <c r="J17" i="1"/>
  <c r="J16" i="1"/>
  <c r="J17" i="3" l="1"/>
  <c r="L26" i="3" l="1"/>
  <c r="L27" i="3" s="1"/>
  <c r="K26" i="3"/>
  <c r="K27" i="3" s="1"/>
  <c r="J26" i="3"/>
  <c r="J27" i="3" s="1"/>
  <c r="M27" i="3" s="1"/>
  <c r="H11" i="3"/>
  <c r="H12" i="3"/>
  <c r="G12" i="3"/>
  <c r="F12" i="3"/>
  <c r="E12" i="3"/>
  <c r="D12" i="3"/>
  <c r="C12" i="3"/>
  <c r="G11" i="3"/>
  <c r="F11" i="3"/>
  <c r="E11" i="3"/>
  <c r="D11" i="3"/>
  <c r="C11" i="3"/>
  <c r="H10" i="3"/>
  <c r="G10" i="3"/>
  <c r="E10" i="3"/>
  <c r="D10" i="3"/>
  <c r="C10" i="3"/>
  <c r="J12" i="3"/>
  <c r="H5" i="3" l="1"/>
  <c r="H33" i="3" s="1"/>
  <c r="C5" i="3"/>
  <c r="C28" i="3" s="1"/>
  <c r="G5" i="3"/>
  <c r="G24" i="3" s="1"/>
  <c r="F5" i="3"/>
  <c r="F15" i="3" s="1"/>
  <c r="D5" i="3"/>
  <c r="D36" i="3" s="1"/>
  <c r="E5" i="3"/>
  <c r="E15" i="3" s="1"/>
  <c r="F10" i="3"/>
  <c r="G33" i="3"/>
  <c r="F24" i="3"/>
  <c r="J8" i="1"/>
  <c r="J12" i="1" s="1"/>
  <c r="M27" i="1"/>
  <c r="L26" i="1"/>
  <c r="L27" i="1" s="1"/>
  <c r="K26" i="1"/>
  <c r="K27" i="1" s="1"/>
  <c r="J26" i="1"/>
  <c r="J27" i="1" s="1"/>
  <c r="D20" i="3" l="1"/>
  <c r="D25" i="3"/>
  <c r="C36" i="3"/>
  <c r="H32" i="3"/>
  <c r="D35" i="3"/>
  <c r="H25" i="3"/>
  <c r="C31" i="3"/>
  <c r="H17" i="3"/>
  <c r="H35" i="3"/>
  <c r="H24" i="3"/>
  <c r="H28" i="3"/>
  <c r="C34" i="3"/>
  <c r="H15" i="3"/>
  <c r="C20" i="3"/>
  <c r="C24" i="3"/>
  <c r="F35" i="3"/>
  <c r="F26" i="3"/>
  <c r="F32" i="3"/>
  <c r="F28" i="3"/>
  <c r="F16" i="3"/>
  <c r="F20" i="3"/>
  <c r="G25" i="3"/>
  <c r="F33" i="3"/>
  <c r="F34" i="3"/>
  <c r="G36" i="3"/>
  <c r="F36" i="3"/>
  <c r="F23" i="3"/>
  <c r="G32" i="3"/>
  <c r="E36" i="3"/>
  <c r="G17" i="3"/>
  <c r="G34" i="3"/>
  <c r="C35" i="3"/>
  <c r="C15" i="3"/>
  <c r="C32" i="3"/>
  <c r="C16" i="3"/>
  <c r="G16" i="3"/>
  <c r="C25" i="3"/>
  <c r="C27" i="3"/>
  <c r="G28" i="3"/>
  <c r="C19" i="3"/>
  <c r="E20" i="3"/>
  <c r="E17" i="3"/>
  <c r="E31" i="3"/>
  <c r="D33" i="3"/>
  <c r="D17" i="3"/>
  <c r="D23" i="3"/>
  <c r="E27" i="3"/>
  <c r="D15" i="3"/>
  <c r="D31" i="3"/>
  <c r="C26" i="3"/>
  <c r="E33" i="3"/>
  <c r="F25" i="3"/>
  <c r="F19" i="3"/>
  <c r="D34" i="3"/>
  <c r="E24" i="3"/>
  <c r="D27" i="3"/>
  <c r="E32" i="3"/>
  <c r="E16" i="3"/>
  <c r="E28" i="3"/>
  <c r="G19" i="3"/>
  <c r="G35" i="3"/>
  <c r="G31" i="3"/>
  <c r="G27" i="3"/>
  <c r="G23" i="3"/>
  <c r="G15" i="3"/>
  <c r="H23" i="3"/>
  <c r="E26" i="3"/>
  <c r="E23" i="3"/>
  <c r="C23" i="3"/>
  <c r="C17" i="3"/>
  <c r="C33" i="3"/>
  <c r="D28" i="3"/>
  <c r="H19" i="3"/>
  <c r="H27" i="3"/>
  <c r="H26" i="3"/>
  <c r="H20" i="3"/>
  <c r="H31" i="3"/>
  <c r="G20" i="3"/>
  <c r="E34" i="3"/>
  <c r="C18" i="3"/>
  <c r="F18" i="3"/>
  <c r="E18" i="3"/>
  <c r="D18" i="3"/>
  <c r="H18" i="3"/>
  <c r="G18" i="3"/>
  <c r="E19" i="3"/>
  <c r="E35" i="3"/>
  <c r="D19" i="3"/>
  <c r="D24" i="3"/>
  <c r="D26" i="3"/>
  <c r="H34" i="3"/>
  <c r="F17" i="3"/>
  <c r="F31" i="3"/>
  <c r="H36" i="3"/>
  <c r="F27" i="3"/>
  <c r="H16" i="3"/>
  <c r="D32" i="3"/>
  <c r="D16" i="3"/>
  <c r="E25" i="3"/>
  <c r="G26" i="3"/>
  <c r="H5" i="1"/>
  <c r="E5" i="1"/>
  <c r="C5" i="1"/>
  <c r="D5" i="1"/>
  <c r="F5" i="1"/>
  <c r="G5" i="1"/>
  <c r="H31" i="1" l="1"/>
  <c r="H35" i="1"/>
  <c r="H19" i="1"/>
  <c r="H20" i="1"/>
  <c r="H36" i="1"/>
  <c r="H28" i="1"/>
  <c r="H27" i="1"/>
  <c r="H17" i="1"/>
  <c r="H34" i="1"/>
  <c r="H23" i="1"/>
  <c r="H24" i="1"/>
  <c r="H16" i="1"/>
  <c r="H32" i="1"/>
  <c r="H33" i="1"/>
  <c r="H18" i="1"/>
  <c r="H25" i="1"/>
  <c r="H26" i="1"/>
  <c r="H15" i="1"/>
  <c r="C20" i="1" l="1"/>
  <c r="C34" i="1"/>
  <c r="C28" i="1"/>
  <c r="C15" i="1"/>
  <c r="C31" i="1"/>
  <c r="C25" i="1"/>
  <c r="C16" i="1"/>
  <c r="C36" i="1"/>
  <c r="C32" i="1"/>
  <c r="C17" i="1"/>
  <c r="C33" i="1"/>
  <c r="C27" i="1"/>
  <c r="C23" i="1"/>
  <c r="C18" i="1"/>
  <c r="C24" i="1"/>
  <c r="C35" i="1"/>
  <c r="C19" i="1"/>
  <c r="C26" i="1"/>
  <c r="G25" i="1"/>
  <c r="G19" i="1"/>
  <c r="G16" i="1"/>
  <c r="G20" i="1"/>
  <c r="G27" i="1"/>
  <c r="G34" i="1"/>
  <c r="G28" i="1"/>
  <c r="G24" i="1"/>
  <c r="G15" i="1"/>
  <c r="G35" i="1"/>
  <c r="G31" i="1"/>
  <c r="G17" i="1"/>
  <c r="G36" i="1"/>
  <c r="G32" i="1"/>
  <c r="G26" i="1"/>
  <c r="G23" i="1"/>
  <c r="G33" i="1"/>
  <c r="G18" i="1"/>
  <c r="F34" i="1"/>
  <c r="F28" i="1"/>
  <c r="F24" i="1"/>
  <c r="F15" i="1"/>
  <c r="F32" i="1"/>
  <c r="F20" i="1"/>
  <c r="F27" i="1"/>
  <c r="F35" i="1"/>
  <c r="F31" i="1"/>
  <c r="F25" i="1"/>
  <c r="F19" i="1"/>
  <c r="F16" i="1"/>
  <c r="F36" i="1"/>
  <c r="F26" i="1"/>
  <c r="F17" i="1"/>
  <c r="F33" i="1"/>
  <c r="F23" i="1"/>
  <c r="F18" i="1"/>
  <c r="E15" i="1"/>
  <c r="E36" i="1"/>
  <c r="E20" i="1"/>
  <c r="E33" i="1"/>
  <c r="E18" i="1"/>
  <c r="E24" i="1"/>
  <c r="E35" i="1"/>
  <c r="E31" i="1"/>
  <c r="E25" i="1"/>
  <c r="E19" i="1"/>
  <c r="E16" i="1"/>
  <c r="E32" i="1"/>
  <c r="E26" i="1"/>
  <c r="E27" i="1"/>
  <c r="E17" i="1"/>
  <c r="E34" i="1"/>
  <c r="E28" i="1"/>
  <c r="E23" i="1"/>
  <c r="D35" i="1"/>
  <c r="D31" i="1"/>
  <c r="D25" i="1"/>
  <c r="D23" i="1"/>
  <c r="D19" i="1"/>
  <c r="D16" i="1"/>
  <c r="D27" i="1"/>
  <c r="D18" i="1"/>
  <c r="D24" i="1"/>
  <c r="D36" i="1"/>
  <c r="D32" i="1"/>
  <c r="D26" i="1"/>
  <c r="D20" i="1"/>
  <c r="D33" i="1"/>
  <c r="D34" i="1"/>
  <c r="D28" i="1"/>
  <c r="D15" i="1"/>
</calcChain>
</file>

<file path=xl/sharedStrings.xml><?xml version="1.0" encoding="utf-8"?>
<sst xmlns="http://schemas.openxmlformats.org/spreadsheetml/2006/main" count="88" uniqueCount="48">
  <si>
    <t>If site costs:</t>
  </si>
  <si>
    <t>ACBL surcharge</t>
  </si>
  <si>
    <t>Publicity</t>
  </si>
  <si>
    <t>Hospitality</t>
  </si>
  <si>
    <t xml:space="preserve">Supplies &amp; transport </t>
  </si>
  <si>
    <t>Hand records</t>
  </si>
  <si>
    <t>Bridgemate rental</t>
  </si>
  <si>
    <t>Fixed costs besides site (3-day tournament)</t>
  </si>
  <si>
    <t>Per table costs:</t>
  </si>
  <si>
    <t>board free play assumption</t>
  </si>
  <si>
    <t>Cost of board free plays to unit in ACBL fees</t>
  </si>
  <si>
    <t>Total fixed costs are:</t>
  </si>
  <si>
    <t>Revenues are (less freeplays and ACBL fees):</t>
  </si>
  <si>
    <t>IUOE Hall</t>
  </si>
  <si>
    <t>NSC 2020</t>
  </si>
  <si>
    <t>Likely 2021+ range</t>
  </si>
  <si>
    <t>Subtotal</t>
  </si>
  <si>
    <t xml:space="preserve">Suntan 2019 </t>
  </si>
  <si>
    <t>TD</t>
  </si>
  <si>
    <t>National</t>
  </si>
  <si>
    <t>Assoc</t>
  </si>
  <si>
    <t>KO 2019</t>
  </si>
  <si>
    <t>SS 2019</t>
  </si>
  <si>
    <t>Cost/sess</t>
  </si>
  <si>
    <t>2020 ACBL fee</t>
  </si>
  <si>
    <t>Net at $10:</t>
  </si>
  <si>
    <t>Net at $11:</t>
  </si>
  <si>
    <t>Net at $12:</t>
  </si>
  <si>
    <t>If table count is:</t>
  </si>
  <si>
    <t>Director travel costs or other unexpected additions</t>
  </si>
  <si>
    <t>&lt;--avg per day</t>
  </si>
  <si>
    <t>Cost of directors</t>
  </si>
  <si>
    <t>Worst case director fees</t>
  </si>
  <si>
    <t>Director fees (uses 2019 avg. alloc. * 2020 fees)</t>
  </si>
  <si>
    <t>WORST CASE VIEW</t>
  </si>
  <si>
    <t>board free play tables</t>
  </si>
  <si>
    <t>Two tournaments a year at $2000, two a year at $3000</t>
  </si>
  <si>
    <t>Variable costs</t>
  </si>
  <si>
    <t>per table</t>
  </si>
  <si>
    <t>per entry fee</t>
  </si>
  <si>
    <t>Where does your entry fee go?</t>
  </si>
  <si>
    <t>Publicity (Flyers, Website costs)</t>
  </si>
  <si>
    <t>Hand Records</t>
  </si>
  <si>
    <t>Equipment &amp; Storage</t>
  </si>
  <si>
    <t>Bridgemates</t>
  </si>
  <si>
    <t>ACBL Fees</t>
  </si>
  <si>
    <t>Director Fees &amp; Travel</t>
  </si>
  <si>
    <t>Site Rental &amp; Janitorial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</si>
</sst>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4" fontId="0" fillId="0" borderId="1" xfId="1" applyNumberFormat="1" applyFont="1" applyBorder="1"/>
    <xf numFmtId="0" fontId="0" fillId="0" borderId="1" xfId="0" applyBorder="1"/>
    <xf numFmtId="6" fontId="0" fillId="0" borderId="1" xfId="0" applyNumberFormat="1" applyBorder="1"/>
    <xf numFmtId="164" fontId="2" fillId="0" borderId="1" xfId="0" applyNumberFormat="1" applyFont="1" applyBorder="1"/>
    <xf numFmtId="0" fontId="0" fillId="0" borderId="1" xfId="0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6" fontId="0" fillId="2" borderId="1" xfId="0" applyNumberFormat="1" applyFill="1" applyBorder="1"/>
    <xf numFmtId="0" fontId="0" fillId="0" borderId="0" xfId="0" quotePrefix="1"/>
    <xf numFmtId="164" fontId="2" fillId="0" borderId="2" xfId="1" applyNumberFormat="1" applyFont="1" applyBorder="1"/>
    <xf numFmtId="1" fontId="2" fillId="0" borderId="1" xfId="0" applyNumberFormat="1" applyFont="1" applyFill="1" applyBorder="1"/>
    <xf numFmtId="0" fontId="2" fillId="0" borderId="1" xfId="0" applyFont="1" applyBorder="1"/>
    <xf numFmtId="0" fontId="2" fillId="0" borderId="0" xfId="0" applyFont="1"/>
    <xf numFmtId="164" fontId="2" fillId="0" borderId="0" xfId="1" applyNumberFormat="1" applyFont="1"/>
    <xf numFmtId="8" fontId="0" fillId="0" borderId="1" xfId="0" applyNumberFormat="1" applyBorder="1"/>
    <xf numFmtId="6" fontId="0" fillId="0" borderId="1" xfId="0" applyNumberFormat="1" applyFont="1" applyBorder="1"/>
    <xf numFmtId="164" fontId="0" fillId="3" borderId="1" xfId="1" applyNumberFormat="1" applyFont="1" applyFill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6" fontId="0" fillId="0" borderId="0" xfId="0" applyNumberFormat="1"/>
    <xf numFmtId="8" fontId="0" fillId="0" borderId="0" xfId="0" applyNumberFormat="1"/>
    <xf numFmtId="165" fontId="0" fillId="0" borderId="0" xfId="2" applyNumberFormat="1" applyFont="1"/>
    <xf numFmtId="165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'Average Tournament'!$B$20:$B$27</c:f>
              <c:strCache>
                <c:ptCount val="8"/>
                <c:pt idx="0">
                  <c:v>Director Fees &amp; Travel</c:v>
                </c:pt>
                <c:pt idx="1">
                  <c:v>Site Rental &amp; Janitorial</c:v>
                </c:pt>
                <c:pt idx="2">
                  <c:v>ACBL Fees</c:v>
                </c:pt>
                <c:pt idx="3">
                  <c:v>Hospitality</c:v>
                </c:pt>
                <c:pt idx="4">
                  <c:v>Equipment &amp; Storage</c:v>
                </c:pt>
                <c:pt idx="5">
                  <c:v>Hand Records</c:v>
                </c:pt>
                <c:pt idx="6">
                  <c:v>Publicity (Flyers, Website costs)</c:v>
                </c:pt>
                <c:pt idx="7">
                  <c:v>Bridgemates</c:v>
                </c:pt>
              </c:strCache>
            </c:strRef>
          </c:cat>
          <c:val>
            <c:numRef>
              <c:f>'Average Tournament'!$C$20:$C$27</c:f>
              <c:numCache>
                <c:formatCode>"$"#,##0.00_);[Red]\("$"#,##0.00\)</c:formatCode>
                <c:ptCount val="8"/>
                <c:pt idx="0">
                  <c:v>3.9275000000000002</c:v>
                </c:pt>
                <c:pt idx="1">
                  <c:v>3.39</c:v>
                </c:pt>
                <c:pt idx="2">
                  <c:v>1.0350000000000001</c:v>
                </c:pt>
                <c:pt idx="3">
                  <c:v>0.64</c:v>
                </c:pt>
                <c:pt idx="4">
                  <c:v>0.4375</c:v>
                </c:pt>
                <c:pt idx="5">
                  <c:v>0.28125</c:v>
                </c:pt>
                <c:pt idx="6">
                  <c:v>0.2291</c:v>
                </c:pt>
                <c:pt idx="7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6-4634-AE7D-8E255068E39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'Average Tournament'!$B$20:$B$27</c:f>
              <c:strCache>
                <c:ptCount val="8"/>
                <c:pt idx="0">
                  <c:v>Director Fees &amp; Travel</c:v>
                </c:pt>
                <c:pt idx="1">
                  <c:v>Site Rental &amp; Janitorial</c:v>
                </c:pt>
                <c:pt idx="2">
                  <c:v>ACBL Fees</c:v>
                </c:pt>
                <c:pt idx="3">
                  <c:v>Hospitality</c:v>
                </c:pt>
                <c:pt idx="4">
                  <c:v>Equipment &amp; Storage</c:v>
                </c:pt>
                <c:pt idx="5">
                  <c:v>Hand Records</c:v>
                </c:pt>
                <c:pt idx="6">
                  <c:v>Publicity (Flyers, Website costs)</c:v>
                </c:pt>
                <c:pt idx="7">
                  <c:v>Bridgemates</c:v>
                </c:pt>
              </c:strCache>
            </c:strRef>
          </c:cat>
          <c:val>
            <c:numRef>
              <c:f>'Average Tournament'!$D$20:$D$27</c:f>
              <c:numCache>
                <c:formatCode>0.0%</c:formatCode>
                <c:ptCount val="8"/>
                <c:pt idx="0">
                  <c:v>0.39275000000000004</c:v>
                </c:pt>
                <c:pt idx="1">
                  <c:v>0.33900000000000002</c:v>
                </c:pt>
                <c:pt idx="2">
                  <c:v>0.10350000000000001</c:v>
                </c:pt>
                <c:pt idx="3">
                  <c:v>6.4000000000000001E-2</c:v>
                </c:pt>
                <c:pt idx="4">
                  <c:v>4.3749999999999997E-2</c:v>
                </c:pt>
                <c:pt idx="5">
                  <c:v>2.8125000000000001E-2</c:v>
                </c:pt>
                <c:pt idx="6">
                  <c:v>2.291E-2</c:v>
                </c:pt>
                <c:pt idx="7">
                  <c:v>6.2500000000000003E-3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6-4634-AE7D-8E255068E39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11</xdr:row>
      <xdr:rowOff>166687</xdr:rowOff>
    </xdr:from>
    <xdr:to>
      <xdr:col>21</xdr:col>
      <xdr:colOff>285750</xdr:colOff>
      <xdr:row>37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A1AC7C-925B-4959-A08A-1005FC10E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C1ED-4F0F-4B4A-8BF1-158045183ADB}">
  <sheetPr>
    <pageSetUpPr fitToPage="1"/>
  </sheetPr>
  <dimension ref="A2:N36"/>
  <sheetViews>
    <sheetView workbookViewId="0">
      <selection activeCell="J15" sqref="J15"/>
    </sheetView>
  </sheetViews>
  <sheetFormatPr defaultRowHeight="15" x14ac:dyDescent="0.25"/>
  <cols>
    <col min="2" max="2" width="6.42578125" customWidth="1"/>
    <col min="3" max="6" width="9.7109375" customWidth="1"/>
    <col min="8" max="8" width="10.140625" bestFit="1" customWidth="1"/>
    <col min="10" max="10" width="10.7109375" bestFit="1" customWidth="1"/>
    <col min="11" max="12" width="10.28515625" bestFit="1" customWidth="1"/>
  </cols>
  <sheetData>
    <row r="2" spans="1:11" x14ac:dyDescent="0.25">
      <c r="A2" s="14" t="s">
        <v>0</v>
      </c>
      <c r="C2" s="3" t="s">
        <v>13</v>
      </c>
      <c r="D2" s="3"/>
      <c r="E2" s="3" t="s">
        <v>14</v>
      </c>
      <c r="F2" s="20" t="s">
        <v>15</v>
      </c>
      <c r="G2" s="20"/>
      <c r="H2" s="20"/>
    </row>
    <row r="3" spans="1:11" x14ac:dyDescent="0.25">
      <c r="C3" s="2">
        <v>2000</v>
      </c>
      <c r="D3" s="2">
        <v>2500</v>
      </c>
      <c r="E3" s="2">
        <v>3000</v>
      </c>
      <c r="F3" s="8">
        <v>3500</v>
      </c>
      <c r="G3" s="2">
        <v>4000</v>
      </c>
      <c r="H3" s="2">
        <v>4500</v>
      </c>
      <c r="J3" s="14" t="s">
        <v>7</v>
      </c>
    </row>
    <row r="4" spans="1:11" x14ac:dyDescent="0.25">
      <c r="A4" s="14" t="s">
        <v>11</v>
      </c>
      <c r="C4" s="1"/>
      <c r="D4" s="1"/>
      <c r="E4" s="1"/>
      <c r="F4" s="1"/>
      <c r="G4" s="1"/>
      <c r="J4" s="2">
        <v>180</v>
      </c>
      <c r="K4" t="s">
        <v>1</v>
      </c>
    </row>
    <row r="5" spans="1:11" x14ac:dyDescent="0.25">
      <c r="C5" s="2">
        <f>C$3+$J$12</f>
        <v>6567</v>
      </c>
      <c r="D5" s="2">
        <f t="shared" ref="D5:H5" si="0">D$3+$J$12</f>
        <v>7067</v>
      </c>
      <c r="E5" s="2">
        <f t="shared" si="0"/>
        <v>7567</v>
      </c>
      <c r="F5" s="2">
        <f t="shared" si="0"/>
        <v>8067</v>
      </c>
      <c r="G5" s="2">
        <f t="shared" si="0"/>
        <v>8567</v>
      </c>
      <c r="H5" s="2">
        <f t="shared" si="0"/>
        <v>9067</v>
      </c>
      <c r="J5" s="2">
        <v>150</v>
      </c>
      <c r="K5" t="s">
        <v>2</v>
      </c>
    </row>
    <row r="6" spans="1:11" x14ac:dyDescent="0.25">
      <c r="J6" s="2">
        <v>500</v>
      </c>
      <c r="K6" t="s">
        <v>3</v>
      </c>
    </row>
    <row r="7" spans="1:11" x14ac:dyDescent="0.25">
      <c r="A7" s="14" t="s">
        <v>28</v>
      </c>
      <c r="J7" s="2">
        <v>350</v>
      </c>
      <c r="K7" t="s">
        <v>4</v>
      </c>
    </row>
    <row r="8" spans="1:11" x14ac:dyDescent="0.25">
      <c r="C8" s="3">
        <v>180</v>
      </c>
      <c r="D8" s="3">
        <v>200</v>
      </c>
      <c r="E8" s="7">
        <v>225</v>
      </c>
      <c r="F8" s="3">
        <v>250</v>
      </c>
      <c r="G8" s="6">
        <v>275</v>
      </c>
      <c r="H8" s="6">
        <v>300</v>
      </c>
      <c r="J8" s="2">
        <f>954*3</f>
        <v>2862</v>
      </c>
      <c r="K8" t="s">
        <v>33</v>
      </c>
    </row>
    <row r="9" spans="1:11" x14ac:dyDescent="0.25">
      <c r="A9" s="14" t="s">
        <v>12</v>
      </c>
      <c r="J9" s="2">
        <v>250</v>
      </c>
      <c r="K9" t="s">
        <v>29</v>
      </c>
    </row>
    <row r="10" spans="1:11" x14ac:dyDescent="0.25">
      <c r="B10" s="4">
        <v>10</v>
      </c>
      <c r="C10" s="4">
        <f>($B10*(C$8-$J$16)*4)-(C$8*$J$15)</f>
        <v>5936.8</v>
      </c>
      <c r="D10" s="4">
        <f t="shared" ref="D10:H12" si="1">($B10*(D$8-$J$16)*4)-(D$8*$J$15)</f>
        <v>6672</v>
      </c>
      <c r="E10" s="4">
        <f t="shared" si="1"/>
        <v>7591</v>
      </c>
      <c r="F10" s="4">
        <f t="shared" si="1"/>
        <v>8510</v>
      </c>
      <c r="G10" s="4">
        <f t="shared" si="1"/>
        <v>9429</v>
      </c>
      <c r="H10" s="4">
        <f t="shared" si="1"/>
        <v>10348</v>
      </c>
      <c r="J10" s="2">
        <v>225</v>
      </c>
      <c r="K10" t="s">
        <v>5</v>
      </c>
    </row>
    <row r="11" spans="1:11" x14ac:dyDescent="0.25">
      <c r="B11" s="4">
        <v>11</v>
      </c>
      <c r="C11" s="4">
        <f t="shared" ref="C11:C12" si="2">($B11*(C$8-$J$16)*4)-(C$8*$J$15)</f>
        <v>6588.8</v>
      </c>
      <c r="D11" s="4">
        <f>($B11*(D$8-$J$16)*4)-(D$8*$J$15)</f>
        <v>7404</v>
      </c>
      <c r="E11" s="4">
        <f t="shared" si="1"/>
        <v>8423</v>
      </c>
      <c r="F11" s="4">
        <f t="shared" si="1"/>
        <v>9442</v>
      </c>
      <c r="G11" s="4">
        <f t="shared" si="1"/>
        <v>10461</v>
      </c>
      <c r="H11" s="4">
        <f t="shared" si="1"/>
        <v>11480</v>
      </c>
      <c r="J11" s="2">
        <v>50</v>
      </c>
      <c r="K11" t="s">
        <v>6</v>
      </c>
    </row>
    <row r="12" spans="1:11" x14ac:dyDescent="0.25">
      <c r="B12" s="4">
        <v>12</v>
      </c>
      <c r="C12" s="4">
        <f t="shared" si="2"/>
        <v>7240.8</v>
      </c>
      <c r="D12" s="4">
        <f t="shared" si="1"/>
        <v>8136</v>
      </c>
      <c r="E12" s="4">
        <f t="shared" si="1"/>
        <v>9255</v>
      </c>
      <c r="F12" s="4">
        <f t="shared" si="1"/>
        <v>10374</v>
      </c>
      <c r="G12" s="4">
        <f t="shared" si="1"/>
        <v>11493</v>
      </c>
      <c r="H12" s="4">
        <f t="shared" si="1"/>
        <v>12612</v>
      </c>
      <c r="J12" s="5">
        <f>SUM(J4:J11)</f>
        <v>4567</v>
      </c>
      <c r="K12" t="s">
        <v>16</v>
      </c>
    </row>
    <row r="14" spans="1:11" x14ac:dyDescent="0.25">
      <c r="A14" s="14" t="s">
        <v>25</v>
      </c>
      <c r="C14" s="11">
        <v>2000</v>
      </c>
      <c r="D14" s="11">
        <v>2500</v>
      </c>
      <c r="E14" s="11">
        <v>3000</v>
      </c>
      <c r="F14" s="11">
        <v>3500</v>
      </c>
      <c r="G14" s="11">
        <v>4000</v>
      </c>
      <c r="H14" s="11">
        <v>4500</v>
      </c>
      <c r="J14" s="14" t="s">
        <v>8</v>
      </c>
    </row>
    <row r="15" spans="1:11" x14ac:dyDescent="0.25">
      <c r="B15" s="12">
        <v>180</v>
      </c>
      <c r="C15" s="4">
        <f>$C$10-C$5</f>
        <v>-630.19999999999982</v>
      </c>
      <c r="D15" s="4">
        <f t="shared" ref="D15:H15" si="3">$C$10-D$5</f>
        <v>-1130.1999999999998</v>
      </c>
      <c r="E15" s="4">
        <f t="shared" si="3"/>
        <v>-1630.1999999999998</v>
      </c>
      <c r="F15" s="4">
        <f t="shared" si="3"/>
        <v>-2130.1999999999998</v>
      </c>
      <c r="G15" s="4">
        <f t="shared" si="3"/>
        <v>-2630.2</v>
      </c>
      <c r="H15" s="4">
        <f t="shared" si="3"/>
        <v>-3130.2</v>
      </c>
      <c r="J15" s="16">
        <v>3.24</v>
      </c>
      <c r="K15" t="s">
        <v>24</v>
      </c>
    </row>
    <row r="16" spans="1:11" x14ac:dyDescent="0.25">
      <c r="B16" s="12">
        <v>200</v>
      </c>
      <c r="C16" s="4">
        <f>$D$10-C$5</f>
        <v>105</v>
      </c>
      <c r="D16" s="4">
        <f t="shared" ref="D16:H16" si="4">$D$10-D$5</f>
        <v>-395</v>
      </c>
      <c r="E16" s="4">
        <f t="shared" si="4"/>
        <v>-895</v>
      </c>
      <c r="F16" s="4">
        <f t="shared" si="4"/>
        <v>-1395</v>
      </c>
      <c r="G16" s="4">
        <f t="shared" si="4"/>
        <v>-1895</v>
      </c>
      <c r="H16" s="4">
        <f t="shared" si="4"/>
        <v>-2395</v>
      </c>
      <c r="J16" s="3">
        <f>68/4</f>
        <v>17</v>
      </c>
      <c r="K16" t="s">
        <v>35</v>
      </c>
    </row>
    <row r="17" spans="1:14" x14ac:dyDescent="0.25">
      <c r="B17" s="13">
        <v>225</v>
      </c>
      <c r="C17" s="4">
        <f t="shared" ref="C17:H17" si="5">$E$10-C$5</f>
        <v>1024</v>
      </c>
      <c r="D17" s="4">
        <f>$E$10-D$5</f>
        <v>524</v>
      </c>
      <c r="E17" s="4">
        <f t="shared" si="5"/>
        <v>24</v>
      </c>
      <c r="F17" s="9">
        <f t="shared" si="5"/>
        <v>-476</v>
      </c>
      <c r="G17" s="4">
        <f t="shared" si="5"/>
        <v>-976</v>
      </c>
      <c r="H17" s="4">
        <f t="shared" si="5"/>
        <v>-1476</v>
      </c>
      <c r="J17" s="17">
        <f>J15*J16</f>
        <v>55.080000000000005</v>
      </c>
      <c r="K17" t="s">
        <v>10</v>
      </c>
    </row>
    <row r="18" spans="1:14" x14ac:dyDescent="0.25">
      <c r="B18" s="13">
        <v>250</v>
      </c>
      <c r="C18" s="4">
        <f>$F$10-C$5</f>
        <v>1943</v>
      </c>
      <c r="D18" s="4">
        <f t="shared" ref="D18:H18" si="6">$F$10-D$5</f>
        <v>1443</v>
      </c>
      <c r="E18" s="4">
        <f t="shared" si="6"/>
        <v>943</v>
      </c>
      <c r="F18" s="4">
        <f t="shared" si="6"/>
        <v>443</v>
      </c>
      <c r="G18" s="4">
        <f t="shared" si="6"/>
        <v>-57</v>
      </c>
      <c r="H18" s="4">
        <f t="shared" si="6"/>
        <v>-557</v>
      </c>
    </row>
    <row r="19" spans="1:14" x14ac:dyDescent="0.25">
      <c r="B19" s="13">
        <v>275</v>
      </c>
      <c r="C19" s="4">
        <f>$G$10-C$5</f>
        <v>2862</v>
      </c>
      <c r="D19" s="4">
        <f t="shared" ref="D19:H19" si="7">$G$10-D$5</f>
        <v>2362</v>
      </c>
      <c r="E19" s="4">
        <f t="shared" si="7"/>
        <v>1862</v>
      </c>
      <c r="F19" s="4">
        <f t="shared" si="7"/>
        <v>1362</v>
      </c>
      <c r="G19" s="4">
        <f t="shared" si="7"/>
        <v>862</v>
      </c>
      <c r="H19" s="4">
        <f t="shared" si="7"/>
        <v>362</v>
      </c>
    </row>
    <row r="20" spans="1:14" x14ac:dyDescent="0.25">
      <c r="B20" s="13">
        <v>300</v>
      </c>
      <c r="C20" s="4">
        <f>$H$10-C$5</f>
        <v>3781</v>
      </c>
      <c r="D20" s="4">
        <f t="shared" ref="D20:H20" si="8">$H$10-D$5</f>
        <v>3281</v>
      </c>
      <c r="E20" s="4">
        <f t="shared" si="8"/>
        <v>2781</v>
      </c>
      <c r="F20" s="4">
        <f t="shared" si="8"/>
        <v>2281</v>
      </c>
      <c r="G20" s="4">
        <f t="shared" si="8"/>
        <v>1781</v>
      </c>
      <c r="H20" s="4">
        <f t="shared" si="8"/>
        <v>1281</v>
      </c>
    </row>
    <row r="22" spans="1:14" x14ac:dyDescent="0.25">
      <c r="A22" s="14" t="s">
        <v>26</v>
      </c>
      <c r="C22" s="11">
        <v>2000</v>
      </c>
      <c r="D22" s="11">
        <v>2500</v>
      </c>
      <c r="E22" s="11">
        <v>3000</v>
      </c>
      <c r="F22" s="11">
        <v>3500</v>
      </c>
      <c r="G22" s="11">
        <v>4000</v>
      </c>
      <c r="H22" s="11">
        <v>4500</v>
      </c>
      <c r="J22" t="s">
        <v>21</v>
      </c>
      <c r="K22" t="s">
        <v>22</v>
      </c>
      <c r="L22" t="s">
        <v>17</v>
      </c>
      <c r="N22" t="s">
        <v>23</v>
      </c>
    </row>
    <row r="23" spans="1:14" x14ac:dyDescent="0.25">
      <c r="B23" s="12">
        <v>180</v>
      </c>
      <c r="C23" s="4">
        <f t="shared" ref="C23:H23" si="9">$C$11-C$5</f>
        <v>21.800000000000182</v>
      </c>
      <c r="D23" s="4">
        <f t="shared" si="9"/>
        <v>-478.19999999999982</v>
      </c>
      <c r="E23" s="4">
        <f t="shared" si="9"/>
        <v>-978.19999999999982</v>
      </c>
      <c r="F23" s="4">
        <f t="shared" si="9"/>
        <v>-1478.1999999999998</v>
      </c>
      <c r="G23" s="4">
        <f t="shared" si="9"/>
        <v>-1978.1999999999998</v>
      </c>
      <c r="H23" s="4">
        <f t="shared" si="9"/>
        <v>-2478.1999999999998</v>
      </c>
      <c r="J23" s="3">
        <v>6</v>
      </c>
      <c r="K23" s="3">
        <v>6</v>
      </c>
      <c r="L23" s="3">
        <v>6</v>
      </c>
      <c r="M23" t="s">
        <v>18</v>
      </c>
      <c r="N23" s="2">
        <v>210</v>
      </c>
    </row>
    <row r="24" spans="1:14" x14ac:dyDescent="0.25">
      <c r="B24" s="12">
        <v>200</v>
      </c>
      <c r="C24" s="4">
        <f>$D$11-C$5</f>
        <v>837</v>
      </c>
      <c r="D24" s="4">
        <f t="shared" ref="D24:H24" si="10">$D$11-D$5</f>
        <v>337</v>
      </c>
      <c r="E24" s="4">
        <f t="shared" si="10"/>
        <v>-163</v>
      </c>
      <c r="F24" s="4">
        <f t="shared" si="10"/>
        <v>-663</v>
      </c>
      <c r="G24" s="4">
        <f t="shared" si="10"/>
        <v>-1163</v>
      </c>
      <c r="H24" s="4">
        <f t="shared" si="10"/>
        <v>-1663</v>
      </c>
      <c r="J24" s="3">
        <v>0</v>
      </c>
      <c r="K24" s="3">
        <v>1.5</v>
      </c>
      <c r="L24" s="3">
        <v>5</v>
      </c>
      <c r="M24" t="s">
        <v>19</v>
      </c>
      <c r="N24" s="2">
        <v>240</v>
      </c>
    </row>
    <row r="25" spans="1:14" x14ac:dyDescent="0.25">
      <c r="B25" s="13">
        <v>225</v>
      </c>
      <c r="C25" s="4">
        <f>$E$11-C$5</f>
        <v>1856</v>
      </c>
      <c r="D25" s="4">
        <f t="shared" ref="D25:H25" si="11">$E$11-D$5</f>
        <v>1356</v>
      </c>
      <c r="E25" s="4">
        <f t="shared" si="11"/>
        <v>856</v>
      </c>
      <c r="F25" s="9">
        <f t="shared" si="11"/>
        <v>356</v>
      </c>
      <c r="G25" s="4">
        <f t="shared" si="11"/>
        <v>-144</v>
      </c>
      <c r="H25" s="4">
        <f t="shared" si="11"/>
        <v>-644</v>
      </c>
      <c r="J25" s="3">
        <v>13</v>
      </c>
      <c r="K25" s="3">
        <v>8</v>
      </c>
      <c r="L25" s="3">
        <v>2</v>
      </c>
      <c r="M25" t="s">
        <v>20</v>
      </c>
      <c r="N25" s="2">
        <v>180</v>
      </c>
    </row>
    <row r="26" spans="1:14" x14ac:dyDescent="0.25">
      <c r="B26" s="13">
        <v>250</v>
      </c>
      <c r="C26" s="4">
        <f>$F$11-C$5</f>
        <v>2875</v>
      </c>
      <c r="D26" s="4">
        <f t="shared" ref="D26:H26" si="12">$F$11-D$5</f>
        <v>2375</v>
      </c>
      <c r="E26" s="4">
        <f t="shared" si="12"/>
        <v>1875</v>
      </c>
      <c r="F26" s="4">
        <f t="shared" si="12"/>
        <v>1375</v>
      </c>
      <c r="G26" s="4">
        <f t="shared" si="12"/>
        <v>875</v>
      </c>
      <c r="H26" s="4">
        <f t="shared" si="12"/>
        <v>375</v>
      </c>
      <c r="J26" s="15">
        <f>SUMPRODUCT(J23:J25,$N$23:$N$25)</f>
        <v>3600</v>
      </c>
      <c r="K26" s="15">
        <f>SUMPRODUCT(K23:K25,$N$23:$N$25)</f>
        <v>3060</v>
      </c>
      <c r="L26" s="15">
        <f>SUMPRODUCT(L23:L25,$N$23:$N$25)</f>
        <v>2820</v>
      </c>
      <c r="M26" s="14" t="s">
        <v>31</v>
      </c>
    </row>
    <row r="27" spans="1:14" x14ac:dyDescent="0.25">
      <c r="B27" s="13">
        <v>275</v>
      </c>
      <c r="C27" s="4">
        <f>$G$11-C$5</f>
        <v>3894</v>
      </c>
      <c r="D27" s="4">
        <f t="shared" ref="D27:H27" si="13">$G$11-D$5</f>
        <v>3394</v>
      </c>
      <c r="E27" s="4">
        <f t="shared" si="13"/>
        <v>2894</v>
      </c>
      <c r="F27" s="4">
        <f t="shared" si="13"/>
        <v>2394</v>
      </c>
      <c r="G27" s="4">
        <f t="shared" si="13"/>
        <v>1894</v>
      </c>
      <c r="H27" s="4">
        <f t="shared" si="13"/>
        <v>1394</v>
      </c>
      <c r="J27" s="15">
        <f>J26/4</f>
        <v>900</v>
      </c>
      <c r="K27" s="15">
        <f>K26/3</f>
        <v>1020</v>
      </c>
      <c r="L27" s="15">
        <f>L26/3</f>
        <v>940</v>
      </c>
      <c r="M27" s="15">
        <f>AVERAGE(J27:L27)</f>
        <v>953.33333333333337</v>
      </c>
      <c r="N27" s="10" t="s">
        <v>30</v>
      </c>
    </row>
    <row r="28" spans="1:14" x14ac:dyDescent="0.25">
      <c r="B28" s="13">
        <v>300</v>
      </c>
      <c r="C28" s="4">
        <f>$H$11-C$5</f>
        <v>4913</v>
      </c>
      <c r="D28" s="4">
        <f t="shared" ref="D28:H28" si="14">$H$11-D$5</f>
        <v>4413</v>
      </c>
      <c r="E28" s="4">
        <f t="shared" si="14"/>
        <v>3913</v>
      </c>
      <c r="F28" s="4">
        <f t="shared" si="14"/>
        <v>3413</v>
      </c>
      <c r="G28" s="4">
        <f t="shared" si="14"/>
        <v>2913</v>
      </c>
      <c r="H28" s="4">
        <f t="shared" si="14"/>
        <v>2413</v>
      </c>
    </row>
    <row r="30" spans="1:14" x14ac:dyDescent="0.25">
      <c r="A30" s="14" t="s">
        <v>27</v>
      </c>
      <c r="C30" s="11">
        <v>2000</v>
      </c>
      <c r="D30" s="11">
        <v>2500</v>
      </c>
      <c r="E30" s="11">
        <v>3000</v>
      </c>
      <c r="F30" s="11">
        <v>3500</v>
      </c>
      <c r="G30" s="11">
        <v>4000</v>
      </c>
      <c r="H30" s="11">
        <v>4500</v>
      </c>
    </row>
    <row r="31" spans="1:14" x14ac:dyDescent="0.25">
      <c r="B31" s="12">
        <v>180</v>
      </c>
      <c r="C31" s="4">
        <f>$C$12-C$5</f>
        <v>673.80000000000018</v>
      </c>
      <c r="D31" s="4">
        <f t="shared" ref="D31:H31" si="15">$C$12-D$5</f>
        <v>173.80000000000018</v>
      </c>
      <c r="E31" s="4">
        <f t="shared" si="15"/>
        <v>-326.19999999999982</v>
      </c>
      <c r="F31" s="4">
        <f t="shared" si="15"/>
        <v>-826.19999999999982</v>
      </c>
      <c r="G31" s="4">
        <f t="shared" si="15"/>
        <v>-1326.1999999999998</v>
      </c>
      <c r="H31" s="4">
        <f t="shared" si="15"/>
        <v>-1826.1999999999998</v>
      </c>
    </row>
    <row r="32" spans="1:14" x14ac:dyDescent="0.25">
      <c r="B32" s="12">
        <v>200</v>
      </c>
      <c r="C32" s="4">
        <f>$D$12-C$5</f>
        <v>1569</v>
      </c>
      <c r="D32" s="4">
        <f t="shared" ref="D32:H32" si="16">$D$12-D$5</f>
        <v>1069</v>
      </c>
      <c r="E32" s="4">
        <f t="shared" si="16"/>
        <v>569</v>
      </c>
      <c r="F32" s="4">
        <f t="shared" si="16"/>
        <v>69</v>
      </c>
      <c r="G32" s="4">
        <f t="shared" si="16"/>
        <v>-431</v>
      </c>
      <c r="H32" s="4">
        <f t="shared" si="16"/>
        <v>-931</v>
      </c>
    </row>
    <row r="33" spans="2:8" x14ac:dyDescent="0.25">
      <c r="B33" s="13">
        <v>225</v>
      </c>
      <c r="C33" s="4">
        <f>$E$12-C$5</f>
        <v>2688</v>
      </c>
      <c r="D33" s="4">
        <f t="shared" ref="D33:H33" si="17">$E$12-D$5</f>
        <v>2188</v>
      </c>
      <c r="E33" s="4">
        <f t="shared" si="17"/>
        <v>1688</v>
      </c>
      <c r="F33" s="9">
        <f t="shared" si="17"/>
        <v>1188</v>
      </c>
      <c r="G33" s="4">
        <f t="shared" si="17"/>
        <v>688</v>
      </c>
      <c r="H33" s="4">
        <f t="shared" si="17"/>
        <v>188</v>
      </c>
    </row>
    <row r="34" spans="2:8" x14ac:dyDescent="0.25">
      <c r="B34" s="13">
        <v>250</v>
      </c>
      <c r="C34" s="4">
        <f>$F$12-C$5</f>
        <v>3807</v>
      </c>
      <c r="D34" s="4">
        <f t="shared" ref="D34:H34" si="18">$F$12-D$5</f>
        <v>3307</v>
      </c>
      <c r="E34" s="4">
        <f t="shared" si="18"/>
        <v>2807</v>
      </c>
      <c r="F34" s="4">
        <f t="shared" si="18"/>
        <v>2307</v>
      </c>
      <c r="G34" s="4">
        <f t="shared" si="18"/>
        <v>1807</v>
      </c>
      <c r="H34" s="4">
        <f t="shared" si="18"/>
        <v>1307</v>
      </c>
    </row>
    <row r="35" spans="2:8" x14ac:dyDescent="0.25">
      <c r="B35" s="13">
        <v>275</v>
      </c>
      <c r="C35" s="4">
        <f>$G$12-C$5</f>
        <v>4926</v>
      </c>
      <c r="D35" s="4">
        <f t="shared" ref="D35:H35" si="19">$G$12-D$5</f>
        <v>4426</v>
      </c>
      <c r="E35" s="4">
        <f t="shared" si="19"/>
        <v>3926</v>
      </c>
      <c r="F35" s="4">
        <f t="shared" si="19"/>
        <v>3426</v>
      </c>
      <c r="G35" s="4">
        <f t="shared" si="19"/>
        <v>2926</v>
      </c>
      <c r="H35" s="4">
        <f t="shared" si="19"/>
        <v>2426</v>
      </c>
    </row>
    <row r="36" spans="2:8" x14ac:dyDescent="0.25">
      <c r="B36" s="13">
        <v>300</v>
      </c>
      <c r="C36" s="4">
        <f>$H$12-C$5</f>
        <v>6045</v>
      </c>
      <c r="D36" s="4">
        <f t="shared" ref="D36:H36" si="20">$H$12-D$5</f>
        <v>5545</v>
      </c>
      <c r="E36" s="4">
        <f t="shared" si="20"/>
        <v>5045</v>
      </c>
      <c r="F36" s="4">
        <f t="shared" si="20"/>
        <v>4545</v>
      </c>
      <c r="G36" s="4">
        <f t="shared" si="20"/>
        <v>4045</v>
      </c>
      <c r="H36" s="4">
        <f t="shared" si="20"/>
        <v>3545</v>
      </c>
    </row>
  </sheetData>
  <mergeCells count="1">
    <mergeCell ref="F2:H2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C859-0AB0-447A-B009-8894185F11CB}">
  <dimension ref="B2:L28"/>
  <sheetViews>
    <sheetView tabSelected="1" workbookViewId="0">
      <selection activeCell="H23" sqref="H23"/>
    </sheetView>
  </sheetViews>
  <sheetFormatPr defaultRowHeight="15" x14ac:dyDescent="0.25"/>
  <cols>
    <col min="2" max="2" width="13.42578125" bestFit="1" customWidth="1"/>
  </cols>
  <sheetData>
    <row r="2" spans="2:12" x14ac:dyDescent="0.25">
      <c r="B2">
        <v>800</v>
      </c>
    </row>
    <row r="3" spans="2:12" x14ac:dyDescent="0.25">
      <c r="B3" s="22">
        <f>C3/B$2</f>
        <v>3.125</v>
      </c>
      <c r="C3" s="21">
        <v>2500</v>
      </c>
      <c r="D3" t="s">
        <v>36</v>
      </c>
    </row>
    <row r="4" spans="2:12" x14ac:dyDescent="0.25">
      <c r="B4" s="22">
        <f>C4/B$2</f>
        <v>0.22500000000000001</v>
      </c>
      <c r="C4" s="2">
        <v>180</v>
      </c>
      <c r="D4" t="s">
        <v>1</v>
      </c>
    </row>
    <row r="5" spans="2:12" x14ac:dyDescent="0.25">
      <c r="B5" s="22">
        <f>C5/B$2</f>
        <v>0.1875</v>
      </c>
      <c r="C5" s="2">
        <v>150</v>
      </c>
      <c r="D5" t="s">
        <v>2</v>
      </c>
      <c r="L5">
        <f>200/6</f>
        <v>33.333333333333336</v>
      </c>
    </row>
    <row r="6" spans="2:12" x14ac:dyDescent="0.25">
      <c r="B6" s="22">
        <f>C6/B$2</f>
        <v>0.625</v>
      </c>
      <c r="C6" s="2">
        <v>500</v>
      </c>
      <c r="D6" t="s">
        <v>3</v>
      </c>
      <c r="L6">
        <f>L5/B2</f>
        <v>4.1666666666666671E-2</v>
      </c>
    </row>
    <row r="7" spans="2:12" x14ac:dyDescent="0.25">
      <c r="B7" s="22">
        <f>C7/B$2</f>
        <v>0.4375</v>
      </c>
      <c r="C7" s="2">
        <v>350</v>
      </c>
      <c r="D7" t="s">
        <v>4</v>
      </c>
    </row>
    <row r="8" spans="2:12" x14ac:dyDescent="0.25">
      <c r="B8" s="22">
        <f>C8/B$2</f>
        <v>3.5775000000000001</v>
      </c>
      <c r="C8" s="2">
        <f>954*3</f>
        <v>2862</v>
      </c>
      <c r="D8" t="s">
        <v>33</v>
      </c>
      <c r="L8">
        <v>300</v>
      </c>
    </row>
    <row r="9" spans="2:12" x14ac:dyDescent="0.25">
      <c r="B9" s="22">
        <f>C9/B$2</f>
        <v>0.3125</v>
      </c>
      <c r="C9" s="2">
        <v>250</v>
      </c>
      <c r="D9" t="s">
        <v>29</v>
      </c>
      <c r="L9">
        <f>L8/B2</f>
        <v>0.375</v>
      </c>
    </row>
    <row r="10" spans="2:12" x14ac:dyDescent="0.25">
      <c r="B10" s="22">
        <f>C10/B$2</f>
        <v>0.28125</v>
      </c>
      <c r="C10" s="2">
        <v>225</v>
      </c>
      <c r="D10" t="s">
        <v>5</v>
      </c>
    </row>
    <row r="11" spans="2:12" x14ac:dyDescent="0.25">
      <c r="B11" s="22">
        <f>C11/B$2</f>
        <v>6.25E-2</v>
      </c>
      <c r="C11" s="2">
        <v>50</v>
      </c>
      <c r="D11" t="s">
        <v>6</v>
      </c>
    </row>
    <row r="14" spans="2:12" x14ac:dyDescent="0.25">
      <c r="B14" t="s">
        <v>37</v>
      </c>
    </row>
    <row r="15" spans="2:12" x14ac:dyDescent="0.25">
      <c r="C15" s="16">
        <v>3.24</v>
      </c>
      <c r="D15" t="s">
        <v>38</v>
      </c>
    </row>
    <row r="16" spans="2:12" x14ac:dyDescent="0.25">
      <c r="C16" s="22">
        <f>C15/4</f>
        <v>0.81</v>
      </c>
      <c r="D16" t="s">
        <v>39</v>
      </c>
    </row>
    <row r="19" spans="2:4" x14ac:dyDescent="0.25">
      <c r="B19" t="s">
        <v>40</v>
      </c>
    </row>
    <row r="20" spans="2:4" x14ac:dyDescent="0.25">
      <c r="B20" t="s">
        <v>46</v>
      </c>
      <c r="C20" s="22">
        <f>3.5775+0.35</f>
        <v>3.9275000000000002</v>
      </c>
      <c r="D20" s="23">
        <f>C20/10</f>
        <v>0.39275000000000004</v>
      </c>
    </row>
    <row r="21" spans="2:4" x14ac:dyDescent="0.25">
      <c r="B21" t="s">
        <v>47</v>
      </c>
      <c r="C21" s="22">
        <f>3.25+0.14</f>
        <v>3.39</v>
      </c>
      <c r="D21" s="23">
        <f>C21/10</f>
        <v>0.33900000000000002</v>
      </c>
    </row>
    <row r="22" spans="2:4" x14ac:dyDescent="0.25">
      <c r="B22" t="s">
        <v>45</v>
      </c>
      <c r="C22" s="22">
        <f>0.81+0.225</f>
        <v>1.0350000000000001</v>
      </c>
      <c r="D22" s="23">
        <f>C22/10</f>
        <v>0.10350000000000001</v>
      </c>
    </row>
    <row r="23" spans="2:4" x14ac:dyDescent="0.25">
      <c r="B23" t="s">
        <v>3</v>
      </c>
      <c r="C23" s="22">
        <v>0.64</v>
      </c>
      <c r="D23" s="23">
        <f>C23/10</f>
        <v>6.4000000000000001E-2</v>
      </c>
    </row>
    <row r="24" spans="2:4" x14ac:dyDescent="0.25">
      <c r="B24" t="s">
        <v>43</v>
      </c>
      <c r="C24" s="22">
        <v>0.4375</v>
      </c>
      <c r="D24" s="23">
        <f>C24/10</f>
        <v>4.3749999999999997E-2</v>
      </c>
    </row>
    <row r="25" spans="2:4" x14ac:dyDescent="0.25">
      <c r="B25" t="s">
        <v>42</v>
      </c>
      <c r="C25" s="22">
        <v>0.28125</v>
      </c>
      <c r="D25" s="23">
        <f>C25/10</f>
        <v>2.8125000000000001E-2</v>
      </c>
    </row>
    <row r="26" spans="2:4" x14ac:dyDescent="0.25">
      <c r="B26" t="s">
        <v>41</v>
      </c>
      <c r="C26" s="22">
        <f>0.1875+0.0416</f>
        <v>0.2291</v>
      </c>
      <c r="D26" s="23">
        <f>C26/10</f>
        <v>2.291E-2</v>
      </c>
    </row>
    <row r="27" spans="2:4" x14ac:dyDescent="0.25">
      <c r="B27" t="s">
        <v>44</v>
      </c>
      <c r="C27" s="22">
        <v>6.25E-2</v>
      </c>
      <c r="D27" s="23">
        <f>C27/10</f>
        <v>6.2500000000000003E-3</v>
      </c>
    </row>
    <row r="28" spans="2:4" x14ac:dyDescent="0.25">
      <c r="D28" s="24">
        <f>SUM(D20:D27)</f>
        <v>1.0002850000000001</v>
      </c>
    </row>
  </sheetData>
  <sortState xmlns:xlrd2="http://schemas.microsoft.com/office/spreadsheetml/2017/richdata2" ref="B20:D27">
    <sortCondition descending="1" ref="D20:D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420F-97F2-43AA-BDE4-5FCFB28EDA5C}">
  <sheetPr>
    <pageSetUpPr fitToPage="1"/>
  </sheetPr>
  <dimension ref="A1:N36"/>
  <sheetViews>
    <sheetView workbookViewId="0">
      <selection activeCell="J31" sqref="J31"/>
    </sheetView>
  </sheetViews>
  <sheetFormatPr defaultRowHeight="15" x14ac:dyDescent="0.25"/>
  <cols>
    <col min="2" max="2" width="6.42578125" customWidth="1"/>
    <col min="3" max="6" width="9.7109375" customWidth="1"/>
    <col min="8" max="8" width="10.140625" bestFit="1" customWidth="1"/>
    <col min="10" max="10" width="10.7109375" bestFit="1" customWidth="1"/>
    <col min="11" max="12" width="10.28515625" bestFit="1" customWidth="1"/>
  </cols>
  <sheetData>
    <row r="1" spans="1:11" x14ac:dyDescent="0.25">
      <c r="A1" s="19" t="s">
        <v>34</v>
      </c>
    </row>
    <row r="2" spans="1:11" x14ac:dyDescent="0.25">
      <c r="A2" s="14" t="s">
        <v>0</v>
      </c>
      <c r="C2" s="3" t="s">
        <v>13</v>
      </c>
      <c r="D2" s="3"/>
      <c r="E2" s="3" t="s">
        <v>14</v>
      </c>
      <c r="F2" s="20" t="s">
        <v>15</v>
      </c>
      <c r="G2" s="20"/>
      <c r="H2" s="20"/>
    </row>
    <row r="3" spans="1:11" x14ac:dyDescent="0.25">
      <c r="C3" s="2">
        <v>2000</v>
      </c>
      <c r="D3" s="2">
        <v>2500</v>
      </c>
      <c r="E3" s="2">
        <v>3000</v>
      </c>
      <c r="F3" s="8">
        <v>3500</v>
      </c>
      <c r="G3" s="2">
        <v>4000</v>
      </c>
      <c r="H3" s="2">
        <v>4500</v>
      </c>
      <c r="J3" s="14" t="s">
        <v>7</v>
      </c>
    </row>
    <row r="4" spans="1:11" x14ac:dyDescent="0.25">
      <c r="A4" s="14" t="s">
        <v>11</v>
      </c>
      <c r="C4" s="1"/>
      <c r="D4" s="1"/>
      <c r="E4" s="1"/>
      <c r="F4" s="1"/>
      <c r="G4" s="1"/>
      <c r="J4" s="2">
        <v>180</v>
      </c>
      <c r="K4" t="s">
        <v>1</v>
      </c>
    </row>
    <row r="5" spans="1:11" x14ac:dyDescent="0.25">
      <c r="C5" s="2">
        <f>C$3+$J$12</f>
        <v>7555</v>
      </c>
      <c r="D5" s="2">
        <f t="shared" ref="D5:H5" si="0">D$3+$J$12</f>
        <v>8055</v>
      </c>
      <c r="E5" s="2">
        <f t="shared" si="0"/>
        <v>8555</v>
      </c>
      <c r="F5" s="2">
        <f t="shared" si="0"/>
        <v>9055</v>
      </c>
      <c r="G5" s="2">
        <f t="shared" si="0"/>
        <v>9555</v>
      </c>
      <c r="H5" s="2">
        <f t="shared" si="0"/>
        <v>10055</v>
      </c>
      <c r="J5" s="2">
        <v>150</v>
      </c>
      <c r="K5" t="s">
        <v>2</v>
      </c>
    </row>
    <row r="6" spans="1:11" x14ac:dyDescent="0.25">
      <c r="J6" s="18">
        <v>1000</v>
      </c>
      <c r="K6" t="s">
        <v>3</v>
      </c>
    </row>
    <row r="7" spans="1:11" x14ac:dyDescent="0.25">
      <c r="A7" s="14" t="s">
        <v>28</v>
      </c>
      <c r="J7" s="18">
        <v>500</v>
      </c>
      <c r="K7" t="s">
        <v>4</v>
      </c>
    </row>
    <row r="8" spans="1:11" x14ac:dyDescent="0.25">
      <c r="C8" s="3">
        <v>180</v>
      </c>
      <c r="D8" s="3">
        <v>200</v>
      </c>
      <c r="E8" s="7">
        <v>225</v>
      </c>
      <c r="F8" s="3">
        <v>250</v>
      </c>
      <c r="G8" s="6">
        <v>275</v>
      </c>
      <c r="H8" s="6">
        <v>300</v>
      </c>
      <c r="J8" s="18">
        <v>3200</v>
      </c>
      <c r="K8" t="s">
        <v>32</v>
      </c>
    </row>
    <row r="9" spans="1:11" x14ac:dyDescent="0.25">
      <c r="A9" s="14" t="s">
        <v>12</v>
      </c>
      <c r="J9" s="2">
        <v>250</v>
      </c>
      <c r="K9" t="s">
        <v>29</v>
      </c>
    </row>
    <row r="10" spans="1:11" x14ac:dyDescent="0.25">
      <c r="B10" s="4">
        <v>10</v>
      </c>
      <c r="C10" s="4">
        <f t="shared" ref="C10:H12" si="1">($B10*C$8*4)-(C$8*$J$15)-$J$17</f>
        <v>6561.72</v>
      </c>
      <c r="D10" s="4">
        <f t="shared" si="1"/>
        <v>7296.92</v>
      </c>
      <c r="E10" s="4">
        <f t="shared" si="1"/>
        <v>8215.92</v>
      </c>
      <c r="F10" s="4">
        <f t="shared" si="1"/>
        <v>9134.92</v>
      </c>
      <c r="G10" s="4">
        <f t="shared" si="1"/>
        <v>10053.92</v>
      </c>
      <c r="H10" s="4">
        <f t="shared" si="1"/>
        <v>10972.92</v>
      </c>
      <c r="J10" s="2">
        <v>225</v>
      </c>
      <c r="K10" t="s">
        <v>5</v>
      </c>
    </row>
    <row r="11" spans="1:11" x14ac:dyDescent="0.25">
      <c r="B11" s="4">
        <v>11</v>
      </c>
      <c r="C11" s="4">
        <f t="shared" si="1"/>
        <v>7281.72</v>
      </c>
      <c r="D11" s="4">
        <f t="shared" si="1"/>
        <v>8096.92</v>
      </c>
      <c r="E11" s="4">
        <f t="shared" si="1"/>
        <v>9115.92</v>
      </c>
      <c r="F11" s="4">
        <f t="shared" si="1"/>
        <v>10134.92</v>
      </c>
      <c r="G11" s="4">
        <f t="shared" si="1"/>
        <v>11153.92</v>
      </c>
      <c r="H11" s="4">
        <f t="shared" si="1"/>
        <v>12172.92</v>
      </c>
      <c r="J11" s="2">
        <v>50</v>
      </c>
      <c r="K11" t="s">
        <v>6</v>
      </c>
    </row>
    <row r="12" spans="1:11" x14ac:dyDescent="0.25">
      <c r="B12" s="4">
        <v>12</v>
      </c>
      <c r="C12" s="4">
        <f t="shared" si="1"/>
        <v>8001.72</v>
      </c>
      <c r="D12" s="4">
        <f t="shared" si="1"/>
        <v>8896.92</v>
      </c>
      <c r="E12" s="4">
        <f t="shared" si="1"/>
        <v>10015.92</v>
      </c>
      <c r="F12" s="4">
        <f t="shared" si="1"/>
        <v>11134.92</v>
      </c>
      <c r="G12" s="4">
        <f t="shared" si="1"/>
        <v>12253.92</v>
      </c>
      <c r="H12" s="4">
        <f t="shared" si="1"/>
        <v>13372.92</v>
      </c>
      <c r="J12" s="5">
        <f>SUM(J4:J11)</f>
        <v>5555</v>
      </c>
      <c r="K12" t="s">
        <v>16</v>
      </c>
    </row>
    <row r="14" spans="1:11" x14ac:dyDescent="0.25">
      <c r="A14" s="14" t="s">
        <v>25</v>
      </c>
      <c r="C14" s="11">
        <v>2000</v>
      </c>
      <c r="D14" s="11">
        <v>2500</v>
      </c>
      <c r="E14" s="11">
        <v>3000</v>
      </c>
      <c r="F14" s="11">
        <v>3500</v>
      </c>
      <c r="G14" s="11">
        <v>4000</v>
      </c>
      <c r="H14" s="11">
        <v>4500</v>
      </c>
      <c r="J14" s="14" t="s">
        <v>8</v>
      </c>
    </row>
    <row r="15" spans="1:11" x14ac:dyDescent="0.25">
      <c r="B15" s="12">
        <v>180</v>
      </c>
      <c r="C15" s="4">
        <f>$C$10-C$5</f>
        <v>-993.27999999999975</v>
      </c>
      <c r="D15" s="4">
        <f t="shared" ref="D15:H15" si="2">$C$10-D$5</f>
        <v>-1493.2799999999997</v>
      </c>
      <c r="E15" s="4">
        <f t="shared" si="2"/>
        <v>-1993.2799999999997</v>
      </c>
      <c r="F15" s="4">
        <f t="shared" si="2"/>
        <v>-2493.2799999999997</v>
      </c>
      <c r="G15" s="4">
        <f t="shared" si="2"/>
        <v>-2993.2799999999997</v>
      </c>
      <c r="H15" s="4">
        <f t="shared" si="2"/>
        <v>-3493.2799999999997</v>
      </c>
      <c r="J15" s="16">
        <v>3.24</v>
      </c>
      <c r="K15" t="s">
        <v>24</v>
      </c>
    </row>
    <row r="16" spans="1:11" x14ac:dyDescent="0.25">
      <c r="B16" s="12">
        <v>200</v>
      </c>
      <c r="C16" s="4">
        <f>$D$10-C$5</f>
        <v>-258.07999999999993</v>
      </c>
      <c r="D16" s="4">
        <f t="shared" ref="D16:H16" si="3">$D$10-D$5</f>
        <v>-758.07999999999993</v>
      </c>
      <c r="E16" s="4">
        <f t="shared" si="3"/>
        <v>-1258.08</v>
      </c>
      <c r="F16" s="4">
        <f t="shared" si="3"/>
        <v>-1758.08</v>
      </c>
      <c r="G16" s="4">
        <f t="shared" si="3"/>
        <v>-2258.08</v>
      </c>
      <c r="H16" s="4">
        <f t="shared" si="3"/>
        <v>-2758.08</v>
      </c>
      <c r="J16" s="3">
        <v>68</v>
      </c>
      <c r="K16" t="s">
        <v>9</v>
      </c>
    </row>
    <row r="17" spans="1:14" x14ac:dyDescent="0.25">
      <c r="B17" s="13">
        <v>225</v>
      </c>
      <c r="C17" s="4">
        <f t="shared" ref="C17:H17" si="4">$E$10-C$5</f>
        <v>660.92000000000007</v>
      </c>
      <c r="D17" s="4">
        <f t="shared" si="4"/>
        <v>160.92000000000007</v>
      </c>
      <c r="E17" s="4">
        <f t="shared" si="4"/>
        <v>-339.07999999999993</v>
      </c>
      <c r="F17" s="9">
        <f t="shared" si="4"/>
        <v>-839.07999999999993</v>
      </c>
      <c r="G17" s="4">
        <f t="shared" si="4"/>
        <v>-1339.08</v>
      </c>
      <c r="H17" s="4">
        <f t="shared" si="4"/>
        <v>-1839.08</v>
      </c>
      <c r="J17" s="17">
        <f>(J16/4)*J15</f>
        <v>55.080000000000005</v>
      </c>
      <c r="K17" t="s">
        <v>10</v>
      </c>
    </row>
    <row r="18" spans="1:14" x14ac:dyDescent="0.25">
      <c r="B18" s="13">
        <v>250</v>
      </c>
      <c r="C18" s="4">
        <f>$F$10-C$5</f>
        <v>1579.92</v>
      </c>
      <c r="D18" s="4">
        <f t="shared" ref="D18:H18" si="5">$F$10-D$5</f>
        <v>1079.92</v>
      </c>
      <c r="E18" s="4">
        <f t="shared" si="5"/>
        <v>579.92000000000007</v>
      </c>
      <c r="F18" s="4">
        <f t="shared" si="5"/>
        <v>79.920000000000073</v>
      </c>
      <c r="G18" s="4">
        <f t="shared" si="5"/>
        <v>-420.07999999999993</v>
      </c>
      <c r="H18" s="4">
        <f t="shared" si="5"/>
        <v>-920.07999999999993</v>
      </c>
    </row>
    <row r="19" spans="1:14" x14ac:dyDescent="0.25">
      <c r="B19" s="13">
        <v>275</v>
      </c>
      <c r="C19" s="4">
        <f>$G$10-C$5</f>
        <v>2498.92</v>
      </c>
      <c r="D19" s="4">
        <f t="shared" ref="D19:H19" si="6">$G$10-D$5</f>
        <v>1998.92</v>
      </c>
      <c r="E19" s="4">
        <f t="shared" si="6"/>
        <v>1498.92</v>
      </c>
      <c r="F19" s="4">
        <f t="shared" si="6"/>
        <v>998.92000000000007</v>
      </c>
      <c r="G19" s="4">
        <f t="shared" si="6"/>
        <v>498.92000000000007</v>
      </c>
      <c r="H19" s="4">
        <f t="shared" si="6"/>
        <v>-1.0799999999999272</v>
      </c>
    </row>
    <row r="20" spans="1:14" x14ac:dyDescent="0.25">
      <c r="B20" s="13">
        <v>300</v>
      </c>
      <c r="C20" s="4">
        <f>$H$10-C$5</f>
        <v>3417.92</v>
      </c>
      <c r="D20" s="4">
        <f t="shared" ref="D20:H20" si="7">$H$10-D$5</f>
        <v>2917.92</v>
      </c>
      <c r="E20" s="4">
        <f t="shared" si="7"/>
        <v>2417.92</v>
      </c>
      <c r="F20" s="4">
        <f t="shared" si="7"/>
        <v>1917.92</v>
      </c>
      <c r="G20" s="4">
        <f t="shared" si="7"/>
        <v>1417.92</v>
      </c>
      <c r="H20" s="4">
        <f t="shared" si="7"/>
        <v>917.92000000000007</v>
      </c>
    </row>
    <row r="22" spans="1:14" x14ac:dyDescent="0.25">
      <c r="A22" s="14" t="s">
        <v>26</v>
      </c>
      <c r="C22" s="11">
        <v>2000</v>
      </c>
      <c r="D22" s="11">
        <v>2500</v>
      </c>
      <c r="E22" s="11">
        <v>3000</v>
      </c>
      <c r="F22" s="11">
        <v>3500</v>
      </c>
      <c r="G22" s="11">
        <v>4000</v>
      </c>
      <c r="H22" s="11">
        <v>4500</v>
      </c>
      <c r="J22" t="s">
        <v>21</v>
      </c>
      <c r="K22" t="s">
        <v>22</v>
      </c>
      <c r="L22" t="s">
        <v>17</v>
      </c>
      <c r="N22" t="s">
        <v>23</v>
      </c>
    </row>
    <row r="23" spans="1:14" x14ac:dyDescent="0.25">
      <c r="B23" s="12">
        <v>180</v>
      </c>
      <c r="C23" s="4">
        <f t="shared" ref="C23:H23" si="8">$C$11-C$5</f>
        <v>-273.27999999999975</v>
      </c>
      <c r="D23" s="4">
        <f t="shared" si="8"/>
        <v>-773.27999999999975</v>
      </c>
      <c r="E23" s="4">
        <f t="shared" si="8"/>
        <v>-1273.2799999999997</v>
      </c>
      <c r="F23" s="4">
        <f t="shared" si="8"/>
        <v>-1773.2799999999997</v>
      </c>
      <c r="G23" s="4">
        <f t="shared" si="8"/>
        <v>-2273.2799999999997</v>
      </c>
      <c r="H23" s="4">
        <f t="shared" si="8"/>
        <v>-2773.2799999999997</v>
      </c>
      <c r="J23" s="3">
        <v>6</v>
      </c>
      <c r="K23" s="3">
        <v>6</v>
      </c>
      <c r="L23" s="3">
        <v>6</v>
      </c>
      <c r="M23" t="s">
        <v>18</v>
      </c>
      <c r="N23" s="2">
        <v>210</v>
      </c>
    </row>
    <row r="24" spans="1:14" x14ac:dyDescent="0.25">
      <c r="B24" s="12">
        <v>200</v>
      </c>
      <c r="C24" s="4">
        <f>$D$11-C$5</f>
        <v>541.92000000000007</v>
      </c>
      <c r="D24" s="4">
        <f t="shared" ref="D24:H24" si="9">$D$11-D$5</f>
        <v>41.920000000000073</v>
      </c>
      <c r="E24" s="4">
        <f t="shared" si="9"/>
        <v>-458.07999999999993</v>
      </c>
      <c r="F24" s="4">
        <f t="shared" si="9"/>
        <v>-958.07999999999993</v>
      </c>
      <c r="G24" s="4">
        <f t="shared" si="9"/>
        <v>-1458.08</v>
      </c>
      <c r="H24" s="4">
        <f t="shared" si="9"/>
        <v>-1958.08</v>
      </c>
      <c r="J24" s="3">
        <v>0</v>
      </c>
      <c r="K24" s="3">
        <v>1.5</v>
      </c>
      <c r="L24" s="3">
        <v>5</v>
      </c>
      <c r="M24" t="s">
        <v>19</v>
      </c>
      <c r="N24" s="2">
        <v>240</v>
      </c>
    </row>
    <row r="25" spans="1:14" x14ac:dyDescent="0.25">
      <c r="B25" s="13">
        <v>225</v>
      </c>
      <c r="C25" s="4">
        <f>$E$11-C$5</f>
        <v>1560.92</v>
      </c>
      <c r="D25" s="4">
        <f t="shared" ref="D25:H25" si="10">$E$11-D$5</f>
        <v>1060.92</v>
      </c>
      <c r="E25" s="4">
        <f t="shared" si="10"/>
        <v>560.92000000000007</v>
      </c>
      <c r="F25" s="9">
        <f t="shared" si="10"/>
        <v>60.920000000000073</v>
      </c>
      <c r="G25" s="4">
        <f t="shared" si="10"/>
        <v>-439.07999999999993</v>
      </c>
      <c r="H25" s="4">
        <f t="shared" si="10"/>
        <v>-939.07999999999993</v>
      </c>
      <c r="J25" s="3">
        <v>13</v>
      </c>
      <c r="K25" s="3">
        <v>8</v>
      </c>
      <c r="L25" s="3">
        <v>2</v>
      </c>
      <c r="M25" t="s">
        <v>20</v>
      </c>
      <c r="N25" s="2">
        <v>180</v>
      </c>
    </row>
    <row r="26" spans="1:14" x14ac:dyDescent="0.25">
      <c r="B26" s="13">
        <v>250</v>
      </c>
      <c r="C26" s="4">
        <f>$F$11-C$5</f>
        <v>2579.92</v>
      </c>
      <c r="D26" s="4">
        <f t="shared" ref="D26:H26" si="11">$F$11-D$5</f>
        <v>2079.92</v>
      </c>
      <c r="E26" s="4">
        <f t="shared" si="11"/>
        <v>1579.92</v>
      </c>
      <c r="F26" s="4">
        <f t="shared" si="11"/>
        <v>1079.92</v>
      </c>
      <c r="G26" s="4">
        <f t="shared" si="11"/>
        <v>579.92000000000007</v>
      </c>
      <c r="H26" s="4">
        <f t="shared" si="11"/>
        <v>79.920000000000073</v>
      </c>
      <c r="J26" s="15">
        <f>SUMPRODUCT(J23:J25,$N$23:$N$25)</f>
        <v>3600</v>
      </c>
      <c r="K26" s="15">
        <f>SUMPRODUCT(K23:K25,$N$23:$N$25)</f>
        <v>3060</v>
      </c>
      <c r="L26" s="15">
        <f>SUMPRODUCT(L23:L25,$N$23:$N$25)</f>
        <v>2820</v>
      </c>
      <c r="M26" s="14" t="s">
        <v>31</v>
      </c>
    </row>
    <row r="27" spans="1:14" x14ac:dyDescent="0.25">
      <c r="B27" s="13">
        <v>275</v>
      </c>
      <c r="C27" s="4">
        <f>$G$11-C$5</f>
        <v>3598.92</v>
      </c>
      <c r="D27" s="4">
        <f t="shared" ref="D27:H27" si="12">$G$11-D$5</f>
        <v>3098.92</v>
      </c>
      <c r="E27" s="4">
        <f t="shared" si="12"/>
        <v>2598.92</v>
      </c>
      <c r="F27" s="4">
        <f t="shared" si="12"/>
        <v>2098.92</v>
      </c>
      <c r="G27" s="4">
        <f t="shared" si="12"/>
        <v>1598.92</v>
      </c>
      <c r="H27" s="4">
        <f t="shared" si="12"/>
        <v>1098.92</v>
      </c>
      <c r="J27" s="15">
        <f>J26/4</f>
        <v>900</v>
      </c>
      <c r="K27" s="15">
        <f>K26/3</f>
        <v>1020</v>
      </c>
      <c r="L27" s="15">
        <f>L26/3</f>
        <v>940</v>
      </c>
      <c r="M27" s="15">
        <f>AVERAGE(J27:L27)</f>
        <v>953.33333333333337</v>
      </c>
      <c r="N27" s="10" t="s">
        <v>30</v>
      </c>
    </row>
    <row r="28" spans="1:14" x14ac:dyDescent="0.25">
      <c r="B28" s="13">
        <v>300</v>
      </c>
      <c r="C28" s="4">
        <f>$H$11-C$5</f>
        <v>4617.92</v>
      </c>
      <c r="D28" s="4">
        <f t="shared" ref="D28:H28" si="13">$H$11-D$5</f>
        <v>4117.92</v>
      </c>
      <c r="E28" s="4">
        <f t="shared" si="13"/>
        <v>3617.92</v>
      </c>
      <c r="F28" s="4">
        <f t="shared" si="13"/>
        <v>3117.92</v>
      </c>
      <c r="G28" s="4">
        <f t="shared" si="13"/>
        <v>2617.92</v>
      </c>
      <c r="H28" s="4">
        <f t="shared" si="13"/>
        <v>2117.92</v>
      </c>
    </row>
    <row r="30" spans="1:14" x14ac:dyDescent="0.25">
      <c r="A30" s="14" t="s">
        <v>27</v>
      </c>
      <c r="C30" s="11">
        <v>2000</v>
      </c>
      <c r="D30" s="11">
        <v>2500</v>
      </c>
      <c r="E30" s="11">
        <v>3000</v>
      </c>
      <c r="F30" s="11">
        <v>3500</v>
      </c>
      <c r="G30" s="11">
        <v>4000</v>
      </c>
      <c r="H30" s="11">
        <v>4500</v>
      </c>
    </row>
    <row r="31" spans="1:14" x14ac:dyDescent="0.25">
      <c r="B31" s="12">
        <v>180</v>
      </c>
      <c r="C31" s="4">
        <f>$C$12-C$5</f>
        <v>446.72000000000025</v>
      </c>
      <c r="D31" s="4">
        <f t="shared" ref="D31:H31" si="14">$C$12-D$5</f>
        <v>-53.279999999999745</v>
      </c>
      <c r="E31" s="4">
        <f t="shared" si="14"/>
        <v>-553.27999999999975</v>
      </c>
      <c r="F31" s="4">
        <f t="shared" si="14"/>
        <v>-1053.2799999999997</v>
      </c>
      <c r="G31" s="4">
        <f t="shared" si="14"/>
        <v>-1553.2799999999997</v>
      </c>
      <c r="H31" s="4">
        <f t="shared" si="14"/>
        <v>-2053.2799999999997</v>
      </c>
    </row>
    <row r="32" spans="1:14" x14ac:dyDescent="0.25">
      <c r="B32" s="12">
        <v>200</v>
      </c>
      <c r="C32" s="4">
        <f>$D$12-C$5</f>
        <v>1341.92</v>
      </c>
      <c r="D32" s="4">
        <f t="shared" ref="D32:H32" si="15">$D$12-D$5</f>
        <v>841.92000000000007</v>
      </c>
      <c r="E32" s="4">
        <f t="shared" si="15"/>
        <v>341.92000000000007</v>
      </c>
      <c r="F32" s="4">
        <f t="shared" si="15"/>
        <v>-158.07999999999993</v>
      </c>
      <c r="G32" s="4">
        <f t="shared" si="15"/>
        <v>-658.07999999999993</v>
      </c>
      <c r="H32" s="4">
        <f t="shared" si="15"/>
        <v>-1158.08</v>
      </c>
    </row>
    <row r="33" spans="2:8" x14ac:dyDescent="0.25">
      <c r="B33" s="13">
        <v>225</v>
      </c>
      <c r="C33" s="4">
        <f>$E$12-C$5</f>
        <v>2460.92</v>
      </c>
      <c r="D33" s="4">
        <f t="shared" ref="D33:H33" si="16">$E$12-D$5</f>
        <v>1960.92</v>
      </c>
      <c r="E33" s="4">
        <f t="shared" si="16"/>
        <v>1460.92</v>
      </c>
      <c r="F33" s="9">
        <f t="shared" si="16"/>
        <v>960.92000000000007</v>
      </c>
      <c r="G33" s="4">
        <f t="shared" si="16"/>
        <v>460.92000000000007</v>
      </c>
      <c r="H33" s="4">
        <f t="shared" si="16"/>
        <v>-39.079999999999927</v>
      </c>
    </row>
    <row r="34" spans="2:8" x14ac:dyDescent="0.25">
      <c r="B34" s="13">
        <v>250</v>
      </c>
      <c r="C34" s="4">
        <f>$F$12-C$5</f>
        <v>3579.92</v>
      </c>
      <c r="D34" s="4">
        <f t="shared" ref="D34:H34" si="17">$F$12-D$5</f>
        <v>3079.92</v>
      </c>
      <c r="E34" s="4">
        <f t="shared" si="17"/>
        <v>2579.92</v>
      </c>
      <c r="F34" s="4">
        <f t="shared" si="17"/>
        <v>2079.92</v>
      </c>
      <c r="G34" s="4">
        <f t="shared" si="17"/>
        <v>1579.92</v>
      </c>
      <c r="H34" s="4">
        <f t="shared" si="17"/>
        <v>1079.92</v>
      </c>
    </row>
    <row r="35" spans="2:8" x14ac:dyDescent="0.25">
      <c r="B35" s="13">
        <v>275</v>
      </c>
      <c r="C35" s="4">
        <f>$G$12-C$5</f>
        <v>4698.92</v>
      </c>
      <c r="D35" s="4">
        <f t="shared" ref="D35:H35" si="18">$G$12-D$5</f>
        <v>4198.92</v>
      </c>
      <c r="E35" s="4">
        <f t="shared" si="18"/>
        <v>3698.92</v>
      </c>
      <c r="F35" s="4">
        <f t="shared" si="18"/>
        <v>3198.92</v>
      </c>
      <c r="G35" s="4">
        <f t="shared" si="18"/>
        <v>2698.92</v>
      </c>
      <c r="H35" s="4">
        <f t="shared" si="18"/>
        <v>2198.92</v>
      </c>
    </row>
    <row r="36" spans="2:8" x14ac:dyDescent="0.25">
      <c r="B36" s="13">
        <v>300</v>
      </c>
      <c r="C36" s="4">
        <f>$H$12-C$5</f>
        <v>5817.92</v>
      </c>
      <c r="D36" s="4">
        <f t="shared" ref="D36:H36" si="19">$H$12-D$5</f>
        <v>5317.92</v>
      </c>
      <c r="E36" s="4">
        <f t="shared" si="19"/>
        <v>4817.92</v>
      </c>
      <c r="F36" s="4">
        <f t="shared" si="19"/>
        <v>4317.92</v>
      </c>
      <c r="G36" s="4">
        <f t="shared" si="19"/>
        <v>3817.92</v>
      </c>
      <c r="H36" s="4">
        <f t="shared" si="19"/>
        <v>3317.92</v>
      </c>
    </row>
  </sheetData>
  <mergeCells count="1">
    <mergeCell ref="F2:H2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Base analysis</vt:lpstr>
      <vt:lpstr>Average Tournament</vt:lpstr>
      <vt:lpstr>Worst case ish</vt:lpstr>
      <vt:lpstr>'Base analysis'!Print_Area</vt:lpstr>
      <vt:lpstr>'Worst case 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Chupack</dc:creator>
  <cp:lastModifiedBy>JC Chupack</cp:lastModifiedBy>
  <cp:lastPrinted>2020-03-02T23:58:51Z</cp:lastPrinted>
  <dcterms:created xsi:type="dcterms:W3CDTF">2020-03-02T20:42:31Z</dcterms:created>
  <dcterms:modified xsi:type="dcterms:W3CDTF">2020-04-06T16:11:09Z</dcterms:modified>
</cp:coreProperties>
</file>